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claud\Google Drive\XP\PLANILHAS\"/>
    </mc:Choice>
  </mc:AlternateContent>
  <xr:revisionPtr revIDLastSave="0" documentId="13_ncr:1_{B5D9715D-1B65-459C-9BB2-893C949F446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osto" sheetId="1" r:id="rId1"/>
  </sheets>
  <definedNames>
    <definedName name="_xlnm.Print_Area" localSheetId="0">Rosto!$B$2:$X$42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8" i="1" l="1"/>
  <c r="J6" i="1"/>
  <c r="N34" i="1"/>
  <c r="G23" i="1" l="1"/>
  <c r="G24" i="1"/>
  <c r="J12" i="1" l="1"/>
  <c r="J10" i="1"/>
  <c r="P9" i="1" l="1"/>
  <c r="P8" i="1" l="1"/>
  <c r="S7" i="1" l="1"/>
  <c r="G25" i="1" l="1"/>
  <c r="N23" i="1"/>
  <c r="N32" i="1" l="1"/>
  <c r="N35" i="1"/>
  <c r="V24" i="1"/>
  <c r="V23" i="1" s="1"/>
  <c r="G32" i="1"/>
  <c r="N33" i="1"/>
  <c r="N36" i="1" s="1"/>
  <c r="V31" i="1"/>
  <c r="G33" i="1" l="1"/>
  <c r="V26" i="1"/>
  <c r="V34" i="1" s="1"/>
  <c r="G29" i="1"/>
  <c r="Q12" i="1" s="1"/>
  <c r="S12" i="1" s="1"/>
  <c r="G34" i="1" l="1"/>
  <c r="N25" i="1"/>
  <c r="V27" i="1"/>
  <c r="V29" i="1" s="1"/>
  <c r="G26" i="1"/>
  <c r="G27" i="1" s="1"/>
  <c r="G28" i="1"/>
  <c r="R12" i="1" s="1"/>
  <c r="V25" i="1"/>
  <c r="G35" i="1" l="1"/>
  <c r="U12" i="1"/>
  <c r="W12" i="1"/>
  <c r="V12" i="1"/>
  <c r="N39" i="1"/>
  <c r="R11" i="1" s="1"/>
  <c r="N37" i="1"/>
  <c r="N38" i="1" s="1"/>
  <c r="N28" i="1"/>
  <c r="R8" i="1" s="1"/>
  <c r="N26" i="1"/>
  <c r="G37" i="1"/>
  <c r="R9" i="1" s="1"/>
  <c r="V30" i="1"/>
  <c r="V32" i="1"/>
  <c r="G36" i="1" l="1"/>
  <c r="U9" i="1"/>
  <c r="U8" i="1"/>
  <c r="W8" i="1"/>
  <c r="V8" i="1"/>
  <c r="U11" i="1"/>
  <c r="W11" i="1"/>
  <c r="V11" i="1"/>
  <c r="N27" i="1"/>
  <c r="N40" i="1"/>
  <c r="Q11" i="1" s="1"/>
  <c r="S11" i="1" s="1"/>
  <c r="V33" i="1"/>
  <c r="G38" i="1"/>
  <c r="Q9" i="1" s="1"/>
  <c r="S9" i="1" s="1"/>
  <c r="W9" i="1" l="1"/>
  <c r="V9" i="1"/>
  <c r="V35" i="1"/>
  <c r="N29" i="1" s="1"/>
  <c r="S8" i="1" s="1"/>
  <c r="V36" i="1"/>
  <c r="R10" i="1" s="1"/>
  <c r="U10" i="1" l="1"/>
  <c r="W10" i="1"/>
  <c r="V10" i="1"/>
  <c r="V37" i="1"/>
  <c r="Q10" i="1" s="1"/>
  <c r="S10" i="1" s="1"/>
</calcChain>
</file>

<file path=xl/sharedStrings.xml><?xml version="1.0" encoding="utf-8"?>
<sst xmlns="http://schemas.openxmlformats.org/spreadsheetml/2006/main" count="90" uniqueCount="71">
  <si>
    <t>Montante a ser Investido</t>
  </si>
  <si>
    <t>Investimento/retorno</t>
  </si>
  <si>
    <t>ao mês</t>
  </si>
  <si>
    <t>Poupança</t>
  </si>
  <si>
    <t>Selic Mensal :</t>
  </si>
  <si>
    <t>Tesouro Direto (LFT)</t>
  </si>
  <si>
    <t>CDI Mensal:</t>
  </si>
  <si>
    <t>LCI ou LCA</t>
  </si>
  <si>
    <t>Fundos DI</t>
  </si>
  <si>
    <t>Rentabilidade Bruta ao mês:</t>
  </si>
  <si>
    <t>Rendimento (em %) no período:</t>
  </si>
  <si>
    <t>Rendimento (em R$):</t>
  </si>
  <si>
    <t>Patrimônio Total (em R$):</t>
  </si>
  <si>
    <t>Rendimento ao ano</t>
  </si>
  <si>
    <t>Rendimento ao mês</t>
  </si>
  <si>
    <t>CDB / letra de câmbio</t>
  </si>
  <si>
    <t>Rentabilidade Bruta Mensal (como % do CDI):</t>
  </si>
  <si>
    <t>Alíquota de IR:</t>
  </si>
  <si>
    <t>Rentabilidade (em %):</t>
  </si>
  <si>
    <t>Rendimento Líquido ao ano:</t>
  </si>
  <si>
    <t>Rendimento Líquido ao mês</t>
  </si>
  <si>
    <t>Fundo DI</t>
  </si>
  <si>
    <t>Rentabilidade Bruta  Mensal (como % do CDI):</t>
  </si>
  <si>
    <t>Taxa de Administração (% a.a):</t>
  </si>
  <si>
    <t>Taxa de Administração (% ao mês):</t>
  </si>
  <si>
    <t>Rendimento (em %):</t>
  </si>
  <si>
    <t>Aporte</t>
  </si>
  <si>
    <t>Taxa de corretagem</t>
  </si>
  <si>
    <t>Corretagem na entrada</t>
  </si>
  <si>
    <t>Taxa Juros estimada</t>
  </si>
  <si>
    <t>Valor do Bruto resgate</t>
  </si>
  <si>
    <t>Taxa de custódia</t>
  </si>
  <si>
    <t>IR</t>
  </si>
  <si>
    <t>IR R$</t>
  </si>
  <si>
    <t>Valor do Líquido de resgate</t>
  </si>
  <si>
    <t>TAXA CORRETAGEM TESOURO DIRETO</t>
  </si>
  <si>
    <t>CDB - Rentabilidade Bruta Mensal (como % do CDI):</t>
  </si>
  <si>
    <t>Rentabilidade Bruta Mensal (como % do CDI):A2</t>
  </si>
  <si>
    <t>Período de investimento (em meses)</t>
  </si>
  <si>
    <t xml:space="preserve">Poupança </t>
  </si>
  <si>
    <t>TR mensal</t>
  </si>
  <si>
    <t xml:space="preserve">MEMORIA DE CÁLCULO: </t>
  </si>
  <si>
    <t>Selic over (% a.a) - consultar</t>
  </si>
  <si>
    <t xml:space="preserve">CDI (% a.a) - consultar </t>
  </si>
  <si>
    <t>FUNDOS DI: Oferece liquidez diária igual à poupança e tem risco baixíssimo como a caderneta</t>
  </si>
  <si>
    <t>BUSCAR</t>
  </si>
  <si>
    <t>LCI /LCA Rentabilidade Bruta Mensal (como % do CDI):</t>
  </si>
  <si>
    <t>5 anos</t>
  </si>
  <si>
    <t xml:space="preserve"> 10 anos</t>
  </si>
  <si>
    <t xml:space="preserve"> 30 anos</t>
  </si>
  <si>
    <t>CDB ou LC</t>
  </si>
  <si>
    <t>TABELA COMPARATIVA - JÁ DESCONTANDO IR</t>
  </si>
  <si>
    <t>Período de investimento (em dias)</t>
  </si>
  <si>
    <t xml:space="preserve">360 dias </t>
  </si>
  <si>
    <t>dias</t>
  </si>
  <si>
    <t>Remuneração básica</t>
  </si>
  <si>
    <t>Selic meta (% a.a) - consultar</t>
  </si>
  <si>
    <t>LINK PARA TR DO DIA</t>
  </si>
  <si>
    <t>Taxa de cústodia BMF</t>
  </si>
  <si>
    <t>Taxa de custódia Corretora</t>
  </si>
  <si>
    <t>Selic Meta</t>
  </si>
  <si>
    <t>Selic Over</t>
  </si>
  <si>
    <t>TR (Remuneração Básica):</t>
  </si>
  <si>
    <t>FUNDO DI - Rentabilidade Mensal (como % do CDI):</t>
  </si>
  <si>
    <t>Os resultados aparecem na TABELA COMPARATIVA no lado direito</t>
  </si>
  <si>
    <t>PLANILHA COMPARATIVA DE RENDA FIXA</t>
  </si>
  <si>
    <t>Alterar apenas os campos amarelos com as informações dos investimentos, que a planilha calcula automaticamente</t>
  </si>
  <si>
    <t>A comparação com a poupança só é pertinente com LFT, que é indexada à Selic. Os outros títulos do Tesouro Direto (NTN-B, LTN e NTN-F) possuem características muito diferentes, embutem maior risco</t>
  </si>
  <si>
    <t>As LCI´s e LCA´s não têm liquidez diária como a poupança, ou seja, você só poderá resgatar o dinheiro no vencimento. E lembre-se que o risco  é igual ao da poupança para investimentos de até R$ 250 mil por banco porque, dentro desse limite, o Fundo Garantidor de Crédito devolve o dinheiro do investidor mesmo em caso de quebra do banco.</t>
  </si>
  <si>
    <t>NOTAS</t>
  </si>
  <si>
    <t>Os CDBs e Letras de Câmbio não têm liquidez diária como a poupança - ou seja, você só poderá resgatar o dinheiro no vencimento. O risco é igual ao da poupança para investimentos de até R$ 250 mil por banco porque, dentro desse limite, o Fundo Garantidor de Crédito devolve o dinheiro do investidor mesmo em caso de quebra do banco.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</si>
</sst>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&quot;R$&quot;\ #,##0.00"/>
    <numFmt numFmtId="166" formatCode="_(&quot;R$&quot;* #,##0.00_);_(&quot;R$&quot;* \(#,##0.00\);_(&quot;R$&quot;* &quot;-&quot;??_);_(@_)"/>
    <numFmt numFmtId="167" formatCode="0.0%"/>
    <numFmt numFmtId="168" formatCode="0.000%"/>
    <numFmt numFmtId="169" formatCode="_-* #,##0_-;\-* #,##0_-;_-* &quot;-&quot;??_-;_-@_-"/>
    <numFmt numFmtId="170" formatCode="0.000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33">
    <xf numFmtId="0" fontId="0" fillId="0" borderId="0" xfId="0"/>
    <xf numFmtId="0" fontId="0" fillId="0" borderId="0" xfId="0" applyProtection="1"/>
    <xf numFmtId="0" fontId="0" fillId="8" borderId="8" xfId="0" applyFill="1" applyBorder="1" applyProtection="1"/>
    <xf numFmtId="0" fontId="3" fillId="8" borderId="9" xfId="0" applyFont="1" applyFill="1" applyBorder="1" applyAlignment="1" applyProtection="1">
      <alignment vertical="center"/>
    </xf>
    <xf numFmtId="0" fontId="0" fillId="8" borderId="9" xfId="0" applyFill="1" applyBorder="1" applyProtection="1"/>
    <xf numFmtId="0" fontId="0" fillId="8" borderId="10" xfId="0" applyFill="1" applyBorder="1" applyProtection="1"/>
    <xf numFmtId="0" fontId="0" fillId="8" borderId="11" xfId="0" applyFill="1" applyBorder="1" applyProtection="1"/>
    <xf numFmtId="0" fontId="4" fillId="8" borderId="0" xfId="0" applyFont="1" applyFill="1" applyBorder="1" applyAlignment="1" applyProtection="1">
      <alignment wrapText="1"/>
    </xf>
    <xf numFmtId="0" fontId="2" fillId="8" borderId="0" xfId="0" applyFont="1" applyFill="1" applyBorder="1" applyAlignment="1" applyProtection="1">
      <alignment wrapText="1"/>
    </xf>
    <xf numFmtId="0" fontId="0" fillId="8" borderId="0" xfId="0" applyFill="1" applyBorder="1" applyProtection="1"/>
    <xf numFmtId="0" fontId="0" fillId="8" borderId="12" xfId="0" applyFill="1" applyBorder="1" applyProtection="1"/>
    <xf numFmtId="0" fontId="2" fillId="0" borderId="4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8" fillId="0" borderId="4" xfId="4" applyFill="1" applyBorder="1" applyAlignment="1" applyProtection="1">
      <alignment horizontal="left" vertical="center"/>
    </xf>
    <xf numFmtId="10" fontId="0" fillId="0" borderId="1" xfId="0" applyNumberFormat="1" applyFont="1" applyBorder="1" applyAlignment="1" applyProtection="1">
      <alignment horizontal="center" vertical="center"/>
    </xf>
    <xf numFmtId="10" fontId="0" fillId="0" borderId="1" xfId="0" applyNumberFormat="1" applyBorder="1" applyAlignment="1" applyProtection="1">
      <alignment horizontal="center" vertical="center"/>
    </xf>
    <xf numFmtId="10" fontId="2" fillId="8" borderId="0" xfId="2" applyNumberFormat="1" applyFont="1" applyFill="1" applyBorder="1" applyAlignment="1" applyProtection="1">
      <alignment horizontal="center"/>
    </xf>
    <xf numFmtId="10" fontId="0" fillId="8" borderId="0" xfId="2" applyNumberFormat="1" applyFont="1" applyFill="1" applyBorder="1" applyAlignment="1" applyProtection="1">
      <alignment horizontal="center"/>
    </xf>
    <xf numFmtId="10" fontId="0" fillId="8" borderId="0" xfId="2" applyNumberFormat="1" applyFont="1" applyFill="1" applyBorder="1" applyProtection="1"/>
    <xf numFmtId="166" fontId="0" fillId="0" borderId="0" xfId="0" applyNumberFormat="1" applyBorder="1" applyAlignment="1" applyProtection="1">
      <alignment horizontal="center"/>
    </xf>
    <xf numFmtId="10" fontId="0" fillId="0" borderId="0" xfId="2" applyNumberFormat="1" applyFont="1" applyBorder="1" applyAlignment="1" applyProtection="1">
      <alignment horizontal="center"/>
    </xf>
    <xf numFmtId="0" fontId="0" fillId="0" borderId="0" xfId="0" applyBorder="1" applyProtection="1"/>
    <xf numFmtId="10" fontId="0" fillId="0" borderId="0" xfId="0" applyNumberFormat="1" applyBorder="1" applyProtection="1"/>
    <xf numFmtId="0" fontId="0" fillId="3" borderId="1" xfId="0" applyFill="1" applyBorder="1" applyAlignment="1" applyProtection="1"/>
    <xf numFmtId="0" fontId="0" fillId="0" borderId="1" xfId="0" applyBorder="1" applyProtection="1"/>
    <xf numFmtId="0" fontId="0" fillId="8" borderId="0" xfId="0" applyFill="1" applyBorder="1" applyAlignment="1" applyProtection="1">
      <alignment horizontal="left"/>
    </xf>
    <xf numFmtId="0" fontId="0" fillId="8" borderId="13" xfId="0" applyFill="1" applyBorder="1" applyProtection="1"/>
    <xf numFmtId="0" fontId="0" fillId="8" borderId="14" xfId="0" applyFill="1" applyBorder="1" applyProtection="1"/>
    <xf numFmtId="0" fontId="0" fillId="8" borderId="15" xfId="0" applyFill="1" applyBorder="1" applyProtection="1"/>
    <xf numFmtId="0" fontId="0" fillId="0" borderId="0" xfId="0" applyAlignment="1" applyProtection="1">
      <alignment horizontal="center" wrapText="1"/>
    </xf>
    <xf numFmtId="0" fontId="2" fillId="0" borderId="18" xfId="0" applyFont="1" applyFill="1" applyBorder="1" applyAlignment="1" applyProtection="1">
      <alignment vertical="center"/>
    </xf>
    <xf numFmtId="0" fontId="8" fillId="5" borderId="16" xfId="4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169" fontId="2" fillId="2" borderId="2" xfId="3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10" fontId="2" fillId="2" borderId="3" xfId="0" applyNumberFormat="1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horizontal="left" vertical="center"/>
    </xf>
    <xf numFmtId="0" fontId="2" fillId="2" borderId="3" xfId="0" applyFont="1" applyFill="1" applyBorder="1" applyAlignment="1" applyProtection="1">
      <alignment horizontal="left" vertical="center"/>
    </xf>
    <xf numFmtId="0" fontId="8" fillId="0" borderId="4" xfId="4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8" fillId="0" borderId="4" xfId="4" applyBorder="1" applyAlignment="1" applyProtection="1">
      <alignment horizontal="left" vertical="center"/>
      <protection locked="0"/>
    </xf>
    <xf numFmtId="0" fontId="2" fillId="0" borderId="4" xfId="0" applyFont="1" applyBorder="1" applyAlignment="1">
      <alignment horizontal="left" vertical="center"/>
    </xf>
    <xf numFmtId="0" fontId="8" fillId="0" borderId="0" xfId="4" applyProtection="1">
      <protection locked="0"/>
    </xf>
    <xf numFmtId="13" fontId="0" fillId="6" borderId="2" xfId="3" applyNumberFormat="1" applyFont="1" applyFill="1" applyBorder="1" applyAlignment="1" applyProtection="1">
      <alignment horizontal="center" vertical="center"/>
      <protection locked="0"/>
    </xf>
    <xf numFmtId="43" fontId="0" fillId="6" borderId="3" xfId="3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horizontal="left" vertical="center"/>
    </xf>
    <xf numFmtId="0" fontId="2" fillId="2" borderId="3" xfId="0" applyFont="1" applyFill="1" applyBorder="1" applyAlignment="1" applyProtection="1">
      <alignment horizontal="left" vertical="center"/>
    </xf>
    <xf numFmtId="165" fontId="0" fillId="0" borderId="1" xfId="1" applyNumberFormat="1" applyFont="1" applyBorder="1" applyAlignment="1" applyProtection="1">
      <alignment horizontal="right"/>
    </xf>
    <xf numFmtId="43" fontId="0" fillId="6" borderId="2" xfId="3" applyFont="1" applyFill="1" applyBorder="1" applyAlignment="1" applyProtection="1">
      <alignment horizontal="center" vertical="center"/>
      <protection locked="0"/>
    </xf>
    <xf numFmtId="0" fontId="7" fillId="9" borderId="2" xfId="0" applyFont="1" applyFill="1" applyBorder="1" applyAlignment="1" applyProtection="1">
      <alignment horizontal="center" vertical="center"/>
    </xf>
    <xf numFmtId="0" fontId="7" fillId="9" borderId="4" xfId="0" applyFont="1" applyFill="1" applyBorder="1" applyAlignment="1" applyProtection="1">
      <alignment horizontal="center" vertical="center"/>
    </xf>
    <xf numFmtId="10" fontId="0" fillId="6" borderId="4" xfId="0" applyNumberFormat="1" applyFill="1" applyBorder="1" applyAlignment="1" applyProtection="1">
      <alignment horizontal="center" vertical="center"/>
      <protection locked="0"/>
    </xf>
    <xf numFmtId="10" fontId="0" fillId="6" borderId="3" xfId="0" applyNumberFormat="1" applyFill="1" applyBorder="1" applyAlignment="1" applyProtection="1">
      <alignment horizontal="center" vertical="center"/>
      <protection locked="0"/>
    </xf>
    <xf numFmtId="10" fontId="0" fillId="6" borderId="2" xfId="0" applyNumberFormat="1" applyFill="1" applyBorder="1" applyAlignment="1" applyProtection="1">
      <alignment horizontal="center" vertical="center"/>
      <protection locked="0"/>
    </xf>
    <xf numFmtId="170" fontId="0" fillId="0" borderId="2" xfId="2" applyNumberFormat="1" applyFont="1" applyBorder="1" applyAlignment="1" applyProtection="1">
      <alignment horizontal="center" vertical="center"/>
    </xf>
    <xf numFmtId="170" fontId="0" fillId="0" borderId="3" xfId="2" applyNumberFormat="1" applyFont="1" applyBorder="1" applyAlignment="1" applyProtection="1">
      <alignment horizontal="center" vertical="center"/>
    </xf>
    <xf numFmtId="10" fontId="0" fillId="0" borderId="2" xfId="2" applyNumberFormat="1" applyFont="1" applyBorder="1" applyAlignment="1" applyProtection="1">
      <alignment horizontal="center" vertical="center"/>
    </xf>
    <xf numFmtId="10" fontId="0" fillId="0" borderId="3" xfId="2" applyNumberFormat="1" applyFont="1" applyBorder="1" applyAlignment="1" applyProtection="1">
      <alignment horizontal="center" vertical="center"/>
    </xf>
    <xf numFmtId="10" fontId="0" fillId="0" borderId="2" xfId="0" applyNumberFormat="1" applyBorder="1" applyAlignment="1" applyProtection="1">
      <alignment horizontal="center" vertical="center"/>
    </xf>
    <xf numFmtId="10" fontId="0" fillId="0" borderId="3" xfId="0" applyNumberFormat="1" applyBorder="1" applyAlignment="1" applyProtection="1">
      <alignment horizontal="center" vertical="center"/>
    </xf>
    <xf numFmtId="0" fontId="4" fillId="8" borderId="0" xfId="0" applyFont="1" applyFill="1" applyBorder="1" applyAlignment="1" applyProtection="1">
      <alignment horizontal="left" vertical="center" wrapText="1"/>
    </xf>
    <xf numFmtId="0" fontId="0" fillId="3" borderId="1" xfId="0" applyFill="1" applyBorder="1" applyAlignment="1" applyProtection="1">
      <alignment horizontal="left"/>
    </xf>
    <xf numFmtId="10" fontId="0" fillId="0" borderId="2" xfId="2" applyNumberFormat="1" applyFont="1" applyBorder="1" applyAlignment="1" applyProtection="1">
      <alignment horizontal="right"/>
    </xf>
    <xf numFmtId="10" fontId="0" fillId="0" borderId="3" xfId="2" applyNumberFormat="1" applyFont="1" applyBorder="1" applyAlignment="1" applyProtection="1">
      <alignment horizontal="right"/>
    </xf>
    <xf numFmtId="10" fontId="0" fillId="0" borderId="1" xfId="0" applyNumberFormat="1" applyBorder="1" applyAlignment="1" applyProtection="1">
      <alignment horizontal="right"/>
    </xf>
    <xf numFmtId="43" fontId="0" fillId="7" borderId="1" xfId="3" applyFont="1" applyFill="1" applyBorder="1" applyAlignment="1" applyProtection="1">
      <alignment horizontal="right"/>
    </xf>
    <xf numFmtId="43" fontId="0" fillId="0" borderId="1" xfId="3" applyFont="1" applyBorder="1" applyAlignment="1" applyProtection="1">
      <alignment horizontal="right"/>
    </xf>
    <xf numFmtId="10" fontId="5" fillId="4" borderId="1" xfId="2" applyNumberFormat="1" applyFont="1" applyFill="1" applyBorder="1" applyAlignment="1" applyProtection="1">
      <alignment horizontal="right"/>
    </xf>
    <xf numFmtId="9" fontId="0" fillId="0" borderId="1" xfId="0" applyNumberFormat="1" applyFill="1" applyBorder="1" applyAlignment="1" applyProtection="1">
      <alignment horizontal="center"/>
    </xf>
    <xf numFmtId="167" fontId="0" fillId="3" borderId="1" xfId="2" applyNumberFormat="1" applyFon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6" fillId="9" borderId="2" xfId="0" applyFont="1" applyFill="1" applyBorder="1" applyAlignment="1" applyProtection="1">
      <alignment horizontal="center"/>
    </xf>
    <xf numFmtId="0" fontId="6" fillId="9" borderId="4" xfId="0" applyFont="1" applyFill="1" applyBorder="1" applyAlignment="1" applyProtection="1">
      <alignment horizontal="center"/>
    </xf>
    <xf numFmtId="0" fontId="6" fillId="9" borderId="3" xfId="0" applyFont="1" applyFill="1" applyBorder="1" applyAlignment="1" applyProtection="1">
      <alignment horizontal="center"/>
    </xf>
    <xf numFmtId="10" fontId="0" fillId="4" borderId="1" xfId="2" applyNumberFormat="1" applyFont="1" applyFill="1" applyBorder="1" applyAlignment="1" applyProtection="1">
      <alignment horizontal="center"/>
    </xf>
    <xf numFmtId="0" fontId="0" fillId="0" borderId="5" xfId="0" applyBorder="1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0" fillId="0" borderId="7" xfId="0" applyBorder="1" applyAlignment="1" applyProtection="1">
      <alignment horizontal="left"/>
    </xf>
    <xf numFmtId="10" fontId="0" fillId="4" borderId="1" xfId="2" applyNumberFormat="1" applyFont="1" applyFill="1" applyBorder="1" applyAlignment="1" applyProtection="1">
      <alignment horizontal="right"/>
    </xf>
    <xf numFmtId="167" fontId="0" fillId="0" borderId="1" xfId="2" applyNumberFormat="1" applyFont="1" applyBorder="1" applyAlignment="1" applyProtection="1">
      <alignment horizontal="center"/>
    </xf>
    <xf numFmtId="165" fontId="0" fillId="0" borderId="1" xfId="0" applyNumberFormat="1" applyBorder="1" applyAlignment="1" applyProtection="1">
      <alignment horizontal="center"/>
    </xf>
    <xf numFmtId="10" fontId="0" fillId="0" borderId="1" xfId="2" applyNumberFormat="1" applyFont="1" applyBorder="1" applyAlignment="1" applyProtection="1">
      <alignment horizontal="right"/>
    </xf>
    <xf numFmtId="167" fontId="0" fillId="0" borderId="1" xfId="2" applyNumberFormat="1" applyFont="1" applyFill="1" applyBorder="1" applyAlignment="1" applyProtection="1">
      <alignment horizontal="center"/>
    </xf>
    <xf numFmtId="168" fontId="0" fillId="0" borderId="1" xfId="2" applyNumberFormat="1" applyFont="1" applyBorder="1" applyAlignment="1" applyProtection="1">
      <alignment horizontal="center"/>
    </xf>
    <xf numFmtId="10" fontId="0" fillId="0" borderId="1" xfId="2" applyNumberFormat="1" applyFont="1" applyBorder="1" applyAlignment="1" applyProtection="1">
      <alignment horizontal="center"/>
    </xf>
    <xf numFmtId="165" fontId="0" fillId="7" borderId="1" xfId="2" applyNumberFormat="1" applyFont="1" applyFill="1" applyBorder="1" applyAlignment="1" applyProtection="1">
      <alignment horizontal="right"/>
    </xf>
    <xf numFmtId="10" fontId="0" fillId="3" borderId="1" xfId="2" applyNumberFormat="1" applyFont="1" applyFill="1" applyBorder="1" applyAlignment="1" applyProtection="1">
      <alignment horizontal="right"/>
    </xf>
    <xf numFmtId="167" fontId="0" fillId="3" borderId="1" xfId="2" applyNumberFormat="1" applyFont="1" applyFill="1" applyBorder="1" applyAlignment="1" applyProtection="1">
      <alignment horizontal="right"/>
    </xf>
    <xf numFmtId="10" fontId="0" fillId="0" borderId="1" xfId="0" applyNumberFormat="1" applyFill="1" applyBorder="1" applyAlignment="1" applyProtection="1">
      <alignment horizontal="right"/>
    </xf>
    <xf numFmtId="0" fontId="0" fillId="0" borderId="8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0" fillId="0" borderId="12" xfId="0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left" vertical="center" wrapText="1"/>
    </xf>
    <xf numFmtId="0" fontId="0" fillId="0" borderId="15" xfId="0" applyBorder="1" applyAlignment="1" applyProtection="1">
      <alignment horizontal="left" vertical="center" wrapText="1"/>
    </xf>
    <xf numFmtId="0" fontId="0" fillId="0" borderId="8" xfId="0" applyBorder="1" applyAlignment="1" applyProtection="1">
      <alignment vertical="center" wrapText="1"/>
    </xf>
    <xf numFmtId="0" fontId="0" fillId="0" borderId="9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12" xfId="0" applyBorder="1" applyAlignment="1" applyProtection="1">
      <alignment vertical="center" wrapText="1"/>
    </xf>
    <xf numFmtId="0" fontId="0" fillId="0" borderId="13" xfId="0" applyBorder="1" applyAlignment="1" applyProtection="1">
      <alignment vertical="center" wrapText="1"/>
    </xf>
    <xf numFmtId="0" fontId="0" fillId="0" borderId="14" xfId="0" applyBorder="1" applyAlignment="1" applyProtection="1">
      <alignment vertical="center" wrapText="1"/>
    </xf>
    <xf numFmtId="0" fontId="0" fillId="0" borderId="15" xfId="0" applyBorder="1" applyAlignment="1" applyProtection="1">
      <alignment vertical="center" wrapText="1"/>
    </xf>
    <xf numFmtId="0" fontId="0" fillId="0" borderId="8" xfId="0" applyBorder="1" applyAlignment="1" applyProtection="1">
      <alignment horizontal="left" vertical="center"/>
    </xf>
    <xf numFmtId="0" fontId="0" fillId="0" borderId="9" xfId="0" applyBorder="1" applyAlignment="1" applyProtection="1">
      <alignment horizontal="left" vertical="center"/>
    </xf>
    <xf numFmtId="0" fontId="0" fillId="0" borderId="10" xfId="0" applyBorder="1" applyAlignment="1" applyProtection="1">
      <alignment horizontal="left" vertical="center"/>
    </xf>
    <xf numFmtId="0" fontId="0" fillId="0" borderId="13" xfId="0" applyBorder="1" applyAlignment="1" applyProtection="1">
      <alignment horizontal="left" vertical="center"/>
    </xf>
    <xf numFmtId="0" fontId="0" fillId="0" borderId="14" xfId="0" applyBorder="1" applyAlignment="1" applyProtection="1">
      <alignment horizontal="left" vertical="center"/>
    </xf>
    <xf numFmtId="0" fontId="0" fillId="0" borderId="15" xfId="0" applyBorder="1" applyAlignment="1" applyProtection="1">
      <alignment horizontal="left" vertical="center"/>
    </xf>
    <xf numFmtId="0" fontId="0" fillId="8" borderId="9" xfId="0" applyFill="1" applyBorder="1" applyAlignment="1" applyProtection="1">
      <alignment horizontal="center"/>
    </xf>
    <xf numFmtId="0" fontId="0" fillId="8" borderId="0" xfId="0" applyFill="1" applyBorder="1" applyAlignment="1" applyProtection="1">
      <alignment horizontal="center"/>
    </xf>
    <xf numFmtId="0" fontId="3" fillId="8" borderId="9" xfId="0" applyFont="1" applyFill="1" applyBorder="1" applyAlignment="1" applyProtection="1">
      <alignment horizontal="center" vertical="center"/>
    </xf>
    <xf numFmtId="165" fontId="0" fillId="7" borderId="1" xfId="1" applyNumberFormat="1" applyFont="1" applyFill="1" applyBorder="1" applyAlignment="1" applyProtection="1">
      <alignment horizontal="center"/>
    </xf>
    <xf numFmtId="10" fontId="0" fillId="3" borderId="1" xfId="2" applyNumberFormat="1" applyFont="1" applyFill="1" applyBorder="1" applyAlignment="1" applyProtection="1">
      <alignment horizontal="center"/>
    </xf>
    <xf numFmtId="0" fontId="7" fillId="9" borderId="3" xfId="0" applyFont="1" applyFill="1" applyBorder="1" applyAlignment="1" applyProtection="1">
      <alignment horizontal="center" vertical="center"/>
    </xf>
    <xf numFmtId="13" fontId="0" fillId="3" borderId="2" xfId="3" applyNumberFormat="1" applyFont="1" applyFill="1" applyBorder="1" applyAlignment="1" applyProtection="1">
      <alignment horizontal="center" vertical="center"/>
    </xf>
    <xf numFmtId="43" fontId="0" fillId="3" borderId="3" xfId="3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0" fontId="4" fillId="0" borderId="17" xfId="0" applyFont="1" applyFill="1" applyBorder="1" applyAlignment="1" applyProtection="1">
      <alignment horizontal="left" vertical="center"/>
    </xf>
  </cellXfs>
  <cellStyles count="5">
    <cellStyle name="Hiperlink" xfId="4" builtinId="8"/>
    <cellStyle name="Moeda" xfId="1" builtinId="4"/>
    <cellStyle name="Normal" xfId="0" builtinId="0"/>
    <cellStyle name="Porcentagem" xfId="2" builtinId="5"/>
    <cellStyle name="Vírgula" xfId="3" builtinId="3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aloramais.com/fgc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s://www.valoramais.com/cetip-certifica" TargetMode="External"/><Relationship Id="rId5" Type="http://schemas.openxmlformats.org/officeDocument/2006/relationships/image" Target="../media/image3.png"/><Relationship Id="rId4" Type="http://schemas.openxmlformats.org/officeDocument/2006/relationships/image" Target="../media/image2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43090</xdr:colOff>
      <xdr:row>14</xdr:row>
      <xdr:rowOff>180975</xdr:rowOff>
    </xdr:from>
    <xdr:to>
      <xdr:col>22</xdr:col>
      <xdr:colOff>790574</xdr:colOff>
      <xdr:row>19</xdr:row>
      <xdr:rowOff>3809</xdr:rowOff>
    </xdr:to>
    <xdr:pic>
      <xdr:nvPicPr>
        <xdr:cNvPr id="4" name="Imagem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44440" y="3448050"/>
          <a:ext cx="1966684" cy="1032509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381001</xdr:colOff>
      <xdr:row>14</xdr:row>
      <xdr:rowOff>171451</xdr:rowOff>
    </xdr:from>
    <xdr:to>
      <xdr:col>18</xdr:col>
      <xdr:colOff>409575</xdr:colOff>
      <xdr:row>19</xdr:row>
      <xdr:rowOff>44580</xdr:rowOff>
    </xdr:to>
    <xdr:pic>
      <xdr:nvPicPr>
        <xdr:cNvPr id="6" name="Imagem 5" descr="Recorte de Tela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3951" y="3438526"/>
          <a:ext cx="1971674" cy="1082804"/>
        </a:xfrm>
        <a:prstGeom prst="rect">
          <a:avLst/>
        </a:prstGeom>
      </xdr:spPr>
    </xdr:pic>
    <xdr:clientData/>
  </xdr:twoCellAnchor>
  <xdr:twoCellAnchor editAs="oneCell">
    <xdr:from>
      <xdr:col>17</xdr:col>
      <xdr:colOff>104775</xdr:colOff>
      <xdr:row>1</xdr:row>
      <xdr:rowOff>166743</xdr:rowOff>
    </xdr:from>
    <xdr:to>
      <xdr:col>23</xdr:col>
      <xdr:colOff>38099</xdr:colOff>
      <xdr:row>3</xdr:row>
      <xdr:rowOff>67203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B4C40C1B-A24B-40F4-AA5C-10CB583B68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53600" y="300093"/>
          <a:ext cx="3505199" cy="700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4.bcb.gov.br/pec/poupanca/poupanca.asp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valoramais.com/rentabilidades" TargetMode="External"/><Relationship Id="rId1" Type="http://schemas.openxmlformats.org/officeDocument/2006/relationships/hyperlink" Target="https://www.valoramais.com/rentabilidades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bcb.gov.br/" TargetMode="External"/><Relationship Id="rId4" Type="http://schemas.openxmlformats.org/officeDocument/2006/relationships/hyperlink" Target="https://www.bcb.gov.br/estabilidadefinanceira/selicdadosdiari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pageSetUpPr fitToPage="1"/>
  </sheetPr>
  <dimension ref="B1:X81"/>
  <sheetViews>
    <sheetView showGridLines="0" tabSelected="1" zoomScaleNormal="100" workbookViewId="0">
      <selection activeCell="J9" sqref="J9:K9"/>
    </sheetView>
  </sheetViews>
  <sheetFormatPr defaultColWidth="9.140625" defaultRowHeight="15" x14ac:dyDescent="0.25"/>
  <cols>
    <col min="1" max="1" width="2.28515625" style="1" customWidth="1"/>
    <col min="2" max="2" width="3.85546875" style="1" customWidth="1"/>
    <col min="3" max="3" width="9.140625" style="1"/>
    <col min="4" max="4" width="7.85546875" style="1" customWidth="1"/>
    <col min="5" max="5" width="6.7109375" style="1" customWidth="1"/>
    <col min="6" max="6" width="10" style="1" customWidth="1"/>
    <col min="7" max="8" width="11.140625" style="1" customWidth="1"/>
    <col min="9" max="9" width="10" style="1" customWidth="1"/>
    <col min="10" max="10" width="12.5703125" style="1" customWidth="1"/>
    <col min="11" max="11" width="8.5703125" style="1" customWidth="1"/>
    <col min="12" max="12" width="4.7109375" style="1" customWidth="1"/>
    <col min="13" max="15" width="9.140625" style="1"/>
    <col min="16" max="16" width="10.140625" style="1" customWidth="1"/>
    <col min="17" max="17" width="9.140625" style="1"/>
    <col min="18" max="18" width="9.85546875" style="1" customWidth="1"/>
    <col min="19" max="19" width="8.140625" style="1" customWidth="1"/>
    <col min="20" max="20" width="5.140625" style="1" customWidth="1"/>
    <col min="21" max="22" width="9.140625" style="1"/>
    <col min="23" max="23" width="12.140625" style="1" customWidth="1"/>
    <col min="24" max="24" width="6.140625" style="1" customWidth="1"/>
    <col min="25" max="16384" width="9.140625" style="1"/>
  </cols>
  <sheetData>
    <row r="1" spans="2:24" ht="10.5" customHeight="1" thickBot="1" x14ac:dyDescent="0.3"/>
    <row r="2" spans="2:24" ht="35.25" customHeight="1" x14ac:dyDescent="0.25">
      <c r="B2" s="2"/>
      <c r="C2" s="123" t="s">
        <v>65</v>
      </c>
      <c r="D2" s="123"/>
      <c r="E2" s="123"/>
      <c r="F2" s="123"/>
      <c r="G2" s="123"/>
      <c r="H2" s="123"/>
      <c r="I2" s="123"/>
      <c r="J2" s="123"/>
      <c r="K2" s="123"/>
      <c r="L2" s="3"/>
      <c r="M2" s="4"/>
      <c r="N2" s="121"/>
      <c r="O2" s="121"/>
      <c r="P2" s="121"/>
      <c r="Q2" s="121"/>
      <c r="R2" s="121"/>
      <c r="S2" s="121"/>
      <c r="T2" s="121"/>
      <c r="U2" s="121"/>
      <c r="V2" s="4"/>
      <c r="W2" s="4"/>
      <c r="X2" s="5"/>
    </row>
    <row r="3" spans="2:24" ht="28.35" customHeight="1" x14ac:dyDescent="0.25">
      <c r="B3" s="6"/>
      <c r="C3" s="67" t="s">
        <v>66</v>
      </c>
      <c r="D3" s="67"/>
      <c r="E3" s="67"/>
      <c r="F3" s="67"/>
      <c r="G3" s="67"/>
      <c r="H3" s="67"/>
      <c r="I3" s="67"/>
      <c r="J3" s="67"/>
      <c r="K3" s="67"/>
      <c r="L3" s="7"/>
      <c r="M3" s="8"/>
      <c r="N3" s="122"/>
      <c r="O3" s="122"/>
      <c r="P3" s="122"/>
      <c r="Q3" s="122"/>
      <c r="R3" s="122"/>
      <c r="S3" s="122"/>
      <c r="T3" s="122"/>
      <c r="U3" s="122"/>
      <c r="V3" s="9"/>
      <c r="W3" s="9"/>
      <c r="X3" s="10"/>
    </row>
    <row r="4" spans="2:24" ht="28.35" customHeight="1" x14ac:dyDescent="0.25">
      <c r="B4" s="6"/>
      <c r="C4" s="67" t="s">
        <v>64</v>
      </c>
      <c r="D4" s="67"/>
      <c r="E4" s="67"/>
      <c r="F4" s="67"/>
      <c r="G4" s="67"/>
      <c r="H4" s="67"/>
      <c r="I4" s="67"/>
      <c r="J4" s="67"/>
      <c r="K4" s="67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10"/>
    </row>
    <row r="5" spans="2:24" ht="28.35" customHeight="1" x14ac:dyDescent="0.25">
      <c r="B5" s="6"/>
      <c r="C5" s="129" t="s">
        <v>52</v>
      </c>
      <c r="D5" s="11"/>
      <c r="E5" s="11"/>
      <c r="F5" s="11"/>
      <c r="G5" s="11"/>
      <c r="H5" s="11"/>
      <c r="I5" s="11"/>
      <c r="J5" s="49">
        <v>1096</v>
      </c>
      <c r="K5" s="50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10"/>
    </row>
    <row r="6" spans="2:24" ht="19.7" customHeight="1" x14ac:dyDescent="0.25">
      <c r="B6" s="6"/>
      <c r="C6" s="129" t="s">
        <v>38</v>
      </c>
      <c r="D6" s="11"/>
      <c r="E6" s="11"/>
      <c r="F6" s="11"/>
      <c r="G6" s="11"/>
      <c r="H6" s="11"/>
      <c r="I6" s="11"/>
      <c r="J6" s="127">
        <f>J5/30</f>
        <v>36.533333333333331</v>
      </c>
      <c r="K6" s="128"/>
      <c r="L6" s="9"/>
      <c r="M6" s="9"/>
      <c r="N6" s="56" t="s">
        <v>51</v>
      </c>
      <c r="O6" s="57"/>
      <c r="P6" s="57"/>
      <c r="Q6" s="57"/>
      <c r="R6" s="57"/>
      <c r="S6" s="57"/>
      <c r="T6" s="57"/>
      <c r="U6" s="57"/>
      <c r="V6" s="57"/>
      <c r="W6" s="126"/>
      <c r="X6" s="10"/>
    </row>
    <row r="7" spans="2:24" ht="19.7" customHeight="1" x14ac:dyDescent="0.25">
      <c r="B7" s="6"/>
      <c r="C7" s="130" t="s">
        <v>0</v>
      </c>
      <c r="D7" s="12"/>
      <c r="E7" s="12"/>
      <c r="F7" s="12"/>
      <c r="G7" s="12"/>
      <c r="H7" s="12"/>
      <c r="I7" s="12"/>
      <c r="J7" s="55">
        <v>50000</v>
      </c>
      <c r="K7" s="50"/>
      <c r="L7" s="9"/>
      <c r="M7" s="9"/>
      <c r="N7" s="51" t="s">
        <v>1</v>
      </c>
      <c r="O7" s="52"/>
      <c r="P7" s="53"/>
      <c r="Q7" s="13" t="s">
        <v>2</v>
      </c>
      <c r="R7" s="33" t="s">
        <v>53</v>
      </c>
      <c r="S7" s="35">
        <f>J5</f>
        <v>1096</v>
      </c>
      <c r="T7" s="34" t="s">
        <v>54</v>
      </c>
      <c r="U7" s="34" t="s">
        <v>47</v>
      </c>
      <c r="V7" s="13" t="s">
        <v>48</v>
      </c>
      <c r="W7" s="13" t="s">
        <v>49</v>
      </c>
      <c r="X7" s="10"/>
    </row>
    <row r="8" spans="2:24" ht="19.7" customHeight="1" x14ac:dyDescent="0.25">
      <c r="B8" s="6"/>
      <c r="C8" s="130" t="s">
        <v>56</v>
      </c>
      <c r="D8" s="12"/>
      <c r="E8" s="12"/>
      <c r="F8" s="12"/>
      <c r="G8" s="12"/>
      <c r="H8" s="46" t="s">
        <v>60</v>
      </c>
      <c r="I8" s="44"/>
      <c r="J8" s="60">
        <v>5.5E-2</v>
      </c>
      <c r="K8" s="59"/>
      <c r="L8" s="9"/>
      <c r="M8" s="9"/>
      <c r="N8" s="36" t="s">
        <v>7</v>
      </c>
      <c r="O8" s="37"/>
      <c r="P8" s="39">
        <f>J16</f>
        <v>0.9</v>
      </c>
      <c r="Q8" s="15">
        <f>N29</f>
        <v>3.982604275139634E-3</v>
      </c>
      <c r="R8" s="16">
        <f>N28</f>
        <v>4.8852108757350798E-2</v>
      </c>
      <c r="S8" s="65">
        <f>((1+Q8)^($J$6)-1)</f>
        <v>0.15628103016338235</v>
      </c>
      <c r="T8" s="66"/>
      <c r="U8" s="16">
        <f>(1+R8)^5-1</f>
        <v>0.26932045443038355</v>
      </c>
      <c r="V8" s="16">
        <f>(1+R8)^10-1</f>
        <v>0.61117441603535516</v>
      </c>
      <c r="W8" s="16">
        <f>(1+R8)^30-1</f>
        <v>3.1824202748276553</v>
      </c>
      <c r="X8" s="10"/>
    </row>
    <row r="9" spans="2:24" ht="19.7" customHeight="1" x14ac:dyDescent="0.25">
      <c r="B9" s="6"/>
      <c r="C9" s="130" t="s">
        <v>42</v>
      </c>
      <c r="D9" s="12"/>
      <c r="E9" s="12"/>
      <c r="F9" s="12"/>
      <c r="G9" s="12"/>
      <c r="H9" s="48" t="s">
        <v>61</v>
      </c>
      <c r="I9" s="44"/>
      <c r="J9" s="60">
        <v>5.3999999999999999E-2</v>
      </c>
      <c r="K9" s="59"/>
      <c r="L9" s="9"/>
      <c r="M9" s="9"/>
      <c r="N9" s="36" t="s">
        <v>50</v>
      </c>
      <c r="O9" s="37"/>
      <c r="P9" s="39">
        <f>J14</f>
        <v>1.17</v>
      </c>
      <c r="Q9" s="15">
        <f>G38</f>
        <v>4.3699414768310074E-3</v>
      </c>
      <c r="R9" s="16">
        <f>G37</f>
        <v>5.3718200166991803E-2</v>
      </c>
      <c r="S9" s="65">
        <f>((1+Q9)^($J$6)-1)</f>
        <v>0.17269053833054526</v>
      </c>
      <c r="T9" s="66"/>
      <c r="U9" s="16">
        <f>(1+R9)^5-1</f>
        <v>0.29903964974444364</v>
      </c>
      <c r="V9" s="16">
        <f>(1+R9)^10-1</f>
        <v>0.68750401160816677</v>
      </c>
      <c r="W9" s="16">
        <f>(1+R9)^30-1</f>
        <v>3.8054541929996768</v>
      </c>
      <c r="X9" s="10"/>
    </row>
    <row r="10" spans="2:24" ht="19.7" customHeight="1" x14ac:dyDescent="0.25">
      <c r="B10" s="6"/>
      <c r="C10" s="130" t="s">
        <v>4</v>
      </c>
      <c r="D10" s="12"/>
      <c r="E10" s="12"/>
      <c r="F10" s="12"/>
      <c r="G10" s="12"/>
      <c r="H10" s="47"/>
      <c r="I10" s="44"/>
      <c r="J10" s="61">
        <f>((1+$J$9)^(1/12))-1</f>
        <v>4.3923222705009035E-3</v>
      </c>
      <c r="K10" s="62"/>
      <c r="L10" s="9"/>
      <c r="M10" s="9"/>
      <c r="N10" s="36" t="s">
        <v>5</v>
      </c>
      <c r="O10" s="37"/>
      <c r="P10" s="38"/>
      <c r="Q10" s="15">
        <f>V37</f>
        <v>3.536836218985373E-3</v>
      </c>
      <c r="R10" s="16">
        <f>V36</f>
        <v>4.3277453881054972E-2</v>
      </c>
      <c r="S10" s="65">
        <f>((1+Q10)^($J$6)-1)</f>
        <v>0.13767243585310762</v>
      </c>
      <c r="T10" s="66"/>
      <c r="U10" s="16">
        <f>(1+R10)^5-1</f>
        <v>0.23594490073182928</v>
      </c>
      <c r="V10" s="16">
        <f>(1+R10)^10-1</f>
        <v>0.52755979764501149</v>
      </c>
      <c r="W10" s="16">
        <f>(1+R10)^30-1</f>
        <v>2.5644675079480015</v>
      </c>
      <c r="X10" s="10"/>
    </row>
    <row r="11" spans="2:24" ht="19.7" customHeight="1" x14ac:dyDescent="0.25">
      <c r="B11" s="6"/>
      <c r="C11" s="130" t="s">
        <v>43</v>
      </c>
      <c r="D11" s="12"/>
      <c r="E11" s="12"/>
      <c r="F11" s="12"/>
      <c r="G11" s="12"/>
      <c r="H11" s="48"/>
      <c r="I11"/>
      <c r="J11" s="60">
        <v>5.3999999999999999E-2</v>
      </c>
      <c r="K11" s="59"/>
      <c r="L11" s="9"/>
      <c r="M11" s="9"/>
      <c r="N11" s="40" t="s">
        <v>8</v>
      </c>
      <c r="O11" s="41"/>
      <c r="P11" s="42"/>
      <c r="Q11" s="15">
        <f>N40</f>
        <v>4.1615620216326477E-3</v>
      </c>
      <c r="R11" s="16">
        <f>N39</f>
        <v>5.1097777151345225E-2</v>
      </c>
      <c r="S11" s="65">
        <f>((1+Q11)^($J$6)-1)</f>
        <v>0.16383461328794424</v>
      </c>
      <c r="T11" s="66"/>
      <c r="U11" s="16">
        <f>(1+R11)^5-1</f>
        <v>0.28296730274470216</v>
      </c>
      <c r="V11" s="16">
        <f>(1+R11)^10-1</f>
        <v>0.64600509991201616</v>
      </c>
      <c r="W11" s="16">
        <f>(1+R11)^30-1</f>
        <v>3.4595755879481054</v>
      </c>
      <c r="X11" s="10"/>
    </row>
    <row r="12" spans="2:24" ht="19.7" customHeight="1" x14ac:dyDescent="0.25">
      <c r="B12" s="6"/>
      <c r="C12" s="130" t="s">
        <v>6</v>
      </c>
      <c r="D12" s="12"/>
      <c r="E12" s="12"/>
      <c r="F12" s="12"/>
      <c r="G12" s="12"/>
      <c r="H12" s="44"/>
      <c r="I12" s="44"/>
      <c r="J12" s="63">
        <f>(1+$J$11)^(1/12)-1</f>
        <v>4.3923222705009035E-3</v>
      </c>
      <c r="K12" s="64"/>
      <c r="L12" s="9"/>
      <c r="M12" s="9"/>
      <c r="N12" s="51" t="s">
        <v>3</v>
      </c>
      <c r="O12" s="52"/>
      <c r="P12" s="53"/>
      <c r="Q12" s="15">
        <f>G29</f>
        <v>3.1530742084739938E-3</v>
      </c>
      <c r="R12" s="16">
        <f>G28</f>
        <v>3.8499999999999535E-2</v>
      </c>
      <c r="S12" s="65">
        <f>((1+Q12)^($J$6)-1)</f>
        <v>0.12188587582082944</v>
      </c>
      <c r="T12" s="66"/>
      <c r="U12" s="16">
        <f>(1+R12)^5-1</f>
        <v>0.2079042361623149</v>
      </c>
      <c r="V12" s="16">
        <f>(1+R12)^10-1</f>
        <v>0.45903264373886543</v>
      </c>
      <c r="W12" s="16">
        <f>(1+R12)^30-1</f>
        <v>2.1059540479843006</v>
      </c>
      <c r="X12" s="10"/>
    </row>
    <row r="13" spans="2:24" ht="19.7" customHeight="1" thickBot="1" x14ac:dyDescent="0.3">
      <c r="B13" s="6"/>
      <c r="C13" s="130" t="s">
        <v>62</v>
      </c>
      <c r="D13" s="12"/>
      <c r="E13" s="12"/>
      <c r="F13" s="12"/>
      <c r="G13" s="14"/>
      <c r="H13" s="43" t="s">
        <v>57</v>
      </c>
      <c r="I13" s="45"/>
      <c r="J13" s="60">
        <v>0</v>
      </c>
      <c r="K13" s="5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10"/>
    </row>
    <row r="14" spans="2:24" ht="19.7" customHeight="1" thickBot="1" x14ac:dyDescent="0.3">
      <c r="B14" s="6"/>
      <c r="C14" s="129" t="s">
        <v>36</v>
      </c>
      <c r="D14" s="11"/>
      <c r="E14" s="11"/>
      <c r="F14" s="11"/>
      <c r="G14" s="11"/>
      <c r="H14" s="31"/>
      <c r="I14" s="32" t="s">
        <v>45</v>
      </c>
      <c r="J14" s="58">
        <v>1.17</v>
      </c>
      <c r="K14" s="5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10"/>
    </row>
    <row r="15" spans="2:24" ht="19.7" customHeight="1" thickBot="1" x14ac:dyDescent="0.3">
      <c r="B15" s="6"/>
      <c r="C15" s="131" t="s">
        <v>35</v>
      </c>
      <c r="D15" s="131"/>
      <c r="E15" s="131"/>
      <c r="F15" s="131"/>
      <c r="G15" s="131"/>
      <c r="H15" s="131"/>
      <c r="I15" s="132"/>
      <c r="J15" s="60">
        <v>0</v>
      </c>
      <c r="K15" s="5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10"/>
    </row>
    <row r="16" spans="2:24" ht="19.7" customHeight="1" thickBot="1" x14ac:dyDescent="0.3">
      <c r="B16" s="6"/>
      <c r="C16" s="129" t="s">
        <v>46</v>
      </c>
      <c r="D16" s="11"/>
      <c r="E16" s="11"/>
      <c r="F16" s="11"/>
      <c r="G16" s="11"/>
      <c r="H16" s="11"/>
      <c r="I16" s="32" t="s">
        <v>45</v>
      </c>
      <c r="J16" s="60">
        <v>0.9</v>
      </c>
      <c r="K16" s="5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10"/>
    </row>
    <row r="17" spans="2:24" ht="19.7" customHeight="1" x14ac:dyDescent="0.25">
      <c r="B17" s="6"/>
      <c r="C17" s="131" t="s">
        <v>63</v>
      </c>
      <c r="D17" s="131"/>
      <c r="E17" s="131"/>
      <c r="F17" s="131"/>
      <c r="G17" s="131"/>
      <c r="H17" s="131"/>
      <c r="I17" s="131"/>
      <c r="J17" s="60">
        <v>1.1100000000000001</v>
      </c>
      <c r="K17" s="5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10"/>
    </row>
    <row r="18" spans="2:24" ht="18" customHeight="1" x14ac:dyDescent="0.25">
      <c r="B18" s="6"/>
      <c r="C18" s="17"/>
      <c r="D18" s="17"/>
      <c r="E18" s="17"/>
      <c r="F18" s="17"/>
      <c r="G18" s="17"/>
      <c r="H18" s="17"/>
      <c r="I18" s="17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10"/>
    </row>
    <row r="19" spans="2:24" ht="18.75" customHeight="1" x14ac:dyDescent="0.25">
      <c r="B19" s="6"/>
      <c r="C19" s="17"/>
      <c r="D19" s="18"/>
      <c r="E19" s="1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10"/>
    </row>
    <row r="20" spans="2:24" x14ac:dyDescent="0.25">
      <c r="B20" s="6"/>
      <c r="C20" s="9" t="s">
        <v>41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10"/>
    </row>
    <row r="21" spans="2:24" x14ac:dyDescent="0.25">
      <c r="B21" s="6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10"/>
    </row>
    <row r="22" spans="2:24" ht="15.75" customHeight="1" x14ac:dyDescent="0.25">
      <c r="B22" s="6"/>
      <c r="C22" s="79" t="s">
        <v>39</v>
      </c>
      <c r="D22" s="80"/>
      <c r="E22" s="80"/>
      <c r="F22" s="80"/>
      <c r="G22" s="80"/>
      <c r="H22" s="81"/>
      <c r="I22" s="9"/>
      <c r="J22" s="79" t="s">
        <v>7</v>
      </c>
      <c r="K22" s="80"/>
      <c r="L22" s="80"/>
      <c r="M22" s="80"/>
      <c r="N22" s="80"/>
      <c r="O22" s="81"/>
      <c r="P22" s="9"/>
      <c r="Q22" s="79" t="s">
        <v>5</v>
      </c>
      <c r="R22" s="80"/>
      <c r="S22" s="80"/>
      <c r="T22" s="80"/>
      <c r="U22" s="80"/>
      <c r="V22" s="80"/>
      <c r="W22" s="81"/>
      <c r="X22" s="10"/>
    </row>
    <row r="23" spans="2:24" x14ac:dyDescent="0.25">
      <c r="B23" s="6"/>
      <c r="C23" s="78" t="s">
        <v>40</v>
      </c>
      <c r="D23" s="78"/>
      <c r="E23" s="78"/>
      <c r="F23" s="78"/>
      <c r="G23" s="69">
        <f>IF(J8&lt;8.5%,(((1+$J$8*0.7)^(1/12))-1),0.5%)</f>
        <v>3.1530742084739938E-3</v>
      </c>
      <c r="H23" s="70"/>
      <c r="I23" s="9"/>
      <c r="J23" s="78" t="s">
        <v>37</v>
      </c>
      <c r="K23" s="78"/>
      <c r="L23" s="78"/>
      <c r="M23" s="78"/>
      <c r="N23" s="87">
        <f>J16</f>
        <v>0.9</v>
      </c>
      <c r="O23" s="87"/>
      <c r="P23" s="9"/>
      <c r="Q23" s="83" t="s">
        <v>26</v>
      </c>
      <c r="R23" s="84"/>
      <c r="S23" s="84"/>
      <c r="T23" s="84"/>
      <c r="U23" s="85"/>
      <c r="V23" s="54">
        <f>J7/((1+V24))</f>
        <v>50000</v>
      </c>
      <c r="W23" s="54"/>
      <c r="X23" s="10"/>
    </row>
    <row r="24" spans="2:24" ht="15.75" customHeight="1" x14ac:dyDescent="0.25">
      <c r="B24" s="6"/>
      <c r="C24" s="78" t="s">
        <v>55</v>
      </c>
      <c r="D24" s="78"/>
      <c r="E24" s="78"/>
      <c r="F24" s="78"/>
      <c r="G24" s="71">
        <f>J13</f>
        <v>0</v>
      </c>
      <c r="H24" s="71"/>
      <c r="I24" s="9"/>
      <c r="J24" s="78" t="s">
        <v>17</v>
      </c>
      <c r="K24" s="78"/>
      <c r="L24" s="78"/>
      <c r="M24" s="78"/>
      <c r="N24" s="87">
        <v>0</v>
      </c>
      <c r="O24" s="87"/>
      <c r="P24" s="9"/>
      <c r="Q24" s="83" t="s">
        <v>27</v>
      </c>
      <c r="R24" s="84"/>
      <c r="S24" s="84"/>
      <c r="T24" s="84"/>
      <c r="U24" s="85"/>
      <c r="V24" s="96">
        <f>J15</f>
        <v>0</v>
      </c>
      <c r="W24" s="96"/>
      <c r="X24" s="10"/>
    </row>
    <row r="25" spans="2:24" x14ac:dyDescent="0.25">
      <c r="B25" s="6"/>
      <c r="C25" s="78" t="s">
        <v>10</v>
      </c>
      <c r="D25" s="78"/>
      <c r="E25" s="78"/>
      <c r="F25" s="78"/>
      <c r="G25" s="71">
        <f>((1+$G$24)*(1+$G$23))^$J$6-1</f>
        <v>0.12188587582082944</v>
      </c>
      <c r="H25" s="71"/>
      <c r="I25" s="9"/>
      <c r="J25" s="78" t="s">
        <v>25</v>
      </c>
      <c r="K25" s="78"/>
      <c r="L25" s="78"/>
      <c r="M25" s="78"/>
      <c r="N25" s="92">
        <f>(((1+$J$12)^$J$6)-1)*(N$23)</f>
        <v>0.15628103016338504</v>
      </c>
      <c r="O25" s="92"/>
      <c r="P25" s="9"/>
      <c r="Q25" s="83" t="s">
        <v>28</v>
      </c>
      <c r="R25" s="84"/>
      <c r="S25" s="84"/>
      <c r="T25" s="84"/>
      <c r="U25" s="85"/>
      <c r="V25" s="54">
        <f>V23*V24</f>
        <v>0</v>
      </c>
      <c r="W25" s="54"/>
      <c r="X25" s="10"/>
    </row>
    <row r="26" spans="2:24" x14ac:dyDescent="0.25">
      <c r="B26" s="6"/>
      <c r="C26" s="78" t="s">
        <v>11</v>
      </c>
      <c r="D26" s="78"/>
      <c r="E26" s="78"/>
      <c r="F26" s="78"/>
      <c r="G26" s="72">
        <f>J7*G25</f>
        <v>6094.2937910414721</v>
      </c>
      <c r="H26" s="72"/>
      <c r="I26" s="9"/>
      <c r="J26" s="78" t="s">
        <v>11</v>
      </c>
      <c r="K26" s="78"/>
      <c r="L26" s="78"/>
      <c r="M26" s="78"/>
      <c r="N26" s="124">
        <f>$N$25*$J$7</f>
        <v>7814.051508169252</v>
      </c>
      <c r="O26" s="124"/>
      <c r="P26" s="9"/>
      <c r="Q26" s="83" t="s">
        <v>29</v>
      </c>
      <c r="R26" s="84"/>
      <c r="S26" s="84"/>
      <c r="T26" s="84"/>
      <c r="U26" s="85"/>
      <c r="V26" s="71">
        <f>J9</f>
        <v>5.3999999999999999E-2</v>
      </c>
      <c r="W26" s="71"/>
      <c r="X26" s="10"/>
    </row>
    <row r="27" spans="2:24" x14ac:dyDescent="0.25">
      <c r="B27" s="6"/>
      <c r="C27" s="78" t="s">
        <v>12</v>
      </c>
      <c r="D27" s="78"/>
      <c r="E27" s="78"/>
      <c r="F27" s="78"/>
      <c r="G27" s="73">
        <f>$J$7+$G$26</f>
        <v>56094.293791041469</v>
      </c>
      <c r="H27" s="73"/>
      <c r="I27" s="9"/>
      <c r="J27" s="78" t="s">
        <v>12</v>
      </c>
      <c r="K27" s="78"/>
      <c r="L27" s="78"/>
      <c r="M27" s="78"/>
      <c r="N27" s="88">
        <f>$N$26+$J$7</f>
        <v>57814.05150816925</v>
      </c>
      <c r="O27" s="88"/>
      <c r="P27" s="9"/>
      <c r="Q27" s="83" t="s">
        <v>30</v>
      </c>
      <c r="R27" s="84"/>
      <c r="S27" s="84"/>
      <c r="T27" s="84"/>
      <c r="U27" s="85"/>
      <c r="V27" s="54">
        <f>V23*((1+V26)^(J6/12))</f>
        <v>58682.279453521158</v>
      </c>
      <c r="W27" s="54"/>
      <c r="X27" s="10"/>
    </row>
    <row r="28" spans="2:24" ht="15.75" x14ac:dyDescent="0.25">
      <c r="B28" s="6"/>
      <c r="C28" s="78" t="s">
        <v>13</v>
      </c>
      <c r="D28" s="78"/>
      <c r="E28" s="78"/>
      <c r="F28" s="78"/>
      <c r="G28" s="74">
        <f>(1+G29)^12-1</f>
        <v>3.8499999999999535E-2</v>
      </c>
      <c r="H28" s="74"/>
      <c r="I28" s="9"/>
      <c r="J28" s="78" t="s">
        <v>19</v>
      </c>
      <c r="K28" s="78"/>
      <c r="L28" s="78"/>
      <c r="M28" s="78"/>
      <c r="N28" s="82">
        <f>(1+N25)^(12/$J$6)-1</f>
        <v>4.8852108757350798E-2</v>
      </c>
      <c r="O28" s="82"/>
      <c r="P28" s="9"/>
      <c r="Q28" s="83" t="s">
        <v>31</v>
      </c>
      <c r="R28" s="84"/>
      <c r="S28" s="84"/>
      <c r="T28" s="84"/>
      <c r="U28" s="85"/>
      <c r="V28" s="94">
        <v>3.0000000000000001E-3</v>
      </c>
      <c r="W28" s="94"/>
      <c r="X28" s="10"/>
    </row>
    <row r="29" spans="2:24" ht="15.75" x14ac:dyDescent="0.25">
      <c r="B29" s="6"/>
      <c r="C29" s="78" t="s">
        <v>14</v>
      </c>
      <c r="D29" s="78"/>
      <c r="E29" s="78"/>
      <c r="F29" s="78"/>
      <c r="G29" s="74">
        <f>(1+G23)*(1+G24)-1</f>
        <v>3.1530742084739938E-3</v>
      </c>
      <c r="H29" s="74"/>
      <c r="I29" s="9"/>
      <c r="J29" s="78" t="s">
        <v>20</v>
      </c>
      <c r="K29" s="78"/>
      <c r="L29" s="78"/>
      <c r="M29" s="78"/>
      <c r="N29" s="82">
        <f>(1+N28)^(1/12)-1</f>
        <v>3.982604275139634E-3</v>
      </c>
      <c r="O29" s="82"/>
      <c r="P29" s="9"/>
      <c r="Q29" s="83" t="s">
        <v>58</v>
      </c>
      <c r="R29" s="84"/>
      <c r="S29" s="84"/>
      <c r="T29" s="84"/>
      <c r="U29" s="85"/>
      <c r="V29" s="54">
        <f>($V$28*J6/12)*((V23+V27)/2)</f>
        <v>496.31574283774665</v>
      </c>
      <c r="W29" s="54"/>
      <c r="X29" s="10"/>
    </row>
    <row r="30" spans="2:24" x14ac:dyDescent="0.25">
      <c r="B30" s="6"/>
      <c r="C30" s="20"/>
      <c r="D30" s="20"/>
      <c r="E30" s="21"/>
      <c r="F30" s="22"/>
      <c r="G30" s="23"/>
      <c r="H30" s="23"/>
      <c r="I30" s="9"/>
      <c r="J30" s="22"/>
      <c r="K30" s="22"/>
      <c r="L30" s="22"/>
      <c r="M30" s="22"/>
      <c r="N30" s="22"/>
      <c r="O30" s="22"/>
      <c r="P30" s="9"/>
      <c r="Q30" s="83" t="s">
        <v>59</v>
      </c>
      <c r="R30" s="84"/>
      <c r="S30" s="84"/>
      <c r="T30" s="84"/>
      <c r="U30" s="85"/>
      <c r="V30" s="54">
        <f>IF((J6&gt;12),((V24*((J6-12)/12))*((V23+V27)/2)),0)</f>
        <v>0</v>
      </c>
      <c r="W30" s="54"/>
      <c r="X30" s="10"/>
    </row>
    <row r="31" spans="2:24" ht="15.75" x14ac:dyDescent="0.25">
      <c r="B31" s="6"/>
      <c r="C31" s="79" t="s">
        <v>15</v>
      </c>
      <c r="D31" s="80"/>
      <c r="E31" s="80"/>
      <c r="F31" s="80"/>
      <c r="G31" s="80"/>
      <c r="H31" s="81"/>
      <c r="I31" s="9"/>
      <c r="J31" s="79" t="s">
        <v>21</v>
      </c>
      <c r="K31" s="80"/>
      <c r="L31" s="80"/>
      <c r="M31" s="80"/>
      <c r="N31" s="80"/>
      <c r="O31" s="81"/>
      <c r="P31" s="9"/>
      <c r="Q31" s="83" t="s">
        <v>32</v>
      </c>
      <c r="R31" s="84"/>
      <c r="S31" s="84"/>
      <c r="T31" s="84"/>
      <c r="U31" s="85"/>
      <c r="V31" s="95">
        <f>IF($J$6&lt;=0,"Tempo de Investimento Inválido",IF($J$6&lt;=6,0.225,IF($J$6&lt;=12,0.2,IF($J$6&lt;=24,0.175,IF($J$6&gt;24,0.15,"")))))</f>
        <v>0.15</v>
      </c>
      <c r="W31" s="95"/>
      <c r="X31" s="10"/>
    </row>
    <row r="32" spans="2:24" x14ac:dyDescent="0.25">
      <c r="B32" s="6"/>
      <c r="C32" s="77" t="s">
        <v>16</v>
      </c>
      <c r="D32" s="77"/>
      <c r="E32" s="77"/>
      <c r="F32" s="77"/>
      <c r="G32" s="75">
        <f>J14</f>
        <v>1.17</v>
      </c>
      <c r="H32" s="75"/>
      <c r="I32" s="9"/>
      <c r="J32" s="77" t="s">
        <v>22</v>
      </c>
      <c r="K32" s="77"/>
      <c r="L32" s="77"/>
      <c r="M32" s="77"/>
      <c r="N32" s="75">
        <f>J17</f>
        <v>1.1100000000000001</v>
      </c>
      <c r="O32" s="75"/>
      <c r="P32" s="9"/>
      <c r="Q32" s="83" t="s">
        <v>33</v>
      </c>
      <c r="R32" s="84"/>
      <c r="S32" s="84"/>
      <c r="T32" s="84"/>
      <c r="U32" s="85"/>
      <c r="V32" s="54">
        <f>V31*(V27-V23)</f>
        <v>1302.3419180281737</v>
      </c>
      <c r="W32" s="54"/>
      <c r="X32" s="10"/>
    </row>
    <row r="33" spans="2:24" x14ac:dyDescent="0.25">
      <c r="B33" s="6"/>
      <c r="C33" s="68" t="s">
        <v>17</v>
      </c>
      <c r="D33" s="68"/>
      <c r="E33" s="68"/>
      <c r="F33" s="68"/>
      <c r="G33" s="76">
        <f>IF($J$6&lt;=0,"Tempo de Investimento Inválido",IF($J$6&lt;=6,0.225,IF($J$6&lt;=12,0.2,IF($J$6&lt;=24,0.175,IF($J$6&gt;24,0.15,"")))))</f>
        <v>0.15</v>
      </c>
      <c r="H33" s="76"/>
      <c r="I33" s="9"/>
      <c r="J33" s="68" t="s">
        <v>17</v>
      </c>
      <c r="K33" s="68"/>
      <c r="L33" s="68"/>
      <c r="M33" s="68"/>
      <c r="N33" s="76">
        <f>IF($J$6&lt;=0,"Tempo de Investimento Inválido",IF($J$6&lt;=6,0.225,IF($J$6&lt;=12,0.2,IF($J$6&lt;=24,0.175,IF($J$6&gt;24,0.15,"")))))</f>
        <v>0.15</v>
      </c>
      <c r="O33" s="76"/>
      <c r="P33" s="9"/>
      <c r="Q33" s="83" t="s">
        <v>34</v>
      </c>
      <c r="R33" s="84"/>
      <c r="S33" s="84"/>
      <c r="T33" s="84"/>
      <c r="U33" s="85"/>
      <c r="V33" s="54">
        <f>V27-V29-V30-V32</f>
        <v>56883.621792655242</v>
      </c>
      <c r="W33" s="54"/>
      <c r="X33" s="10"/>
    </row>
    <row r="34" spans="2:24" x14ac:dyDescent="0.25">
      <c r="B34" s="6"/>
      <c r="C34" s="68" t="s">
        <v>18</v>
      </c>
      <c r="D34" s="68"/>
      <c r="E34" s="68"/>
      <c r="F34" s="68"/>
      <c r="G34" s="125">
        <f>((((1+$J$12)^($J$6))-1)*$G$32)*(1-$G$33)</f>
        <v>0.17269053833054046</v>
      </c>
      <c r="H34" s="125"/>
      <c r="I34" s="9"/>
      <c r="J34" s="68" t="s">
        <v>23</v>
      </c>
      <c r="K34" s="68"/>
      <c r="L34" s="68"/>
      <c r="M34" s="68"/>
      <c r="N34" s="90">
        <f>J18</f>
        <v>0</v>
      </c>
      <c r="O34" s="90"/>
      <c r="P34" s="9"/>
      <c r="Q34" s="83" t="s">
        <v>9</v>
      </c>
      <c r="R34" s="84"/>
      <c r="S34" s="84"/>
      <c r="T34" s="84"/>
      <c r="U34" s="85"/>
      <c r="V34" s="89">
        <f>(1+V26)^(1/12)-1</f>
        <v>4.3923222705009035E-3</v>
      </c>
      <c r="W34" s="89"/>
      <c r="X34" s="10"/>
    </row>
    <row r="35" spans="2:24" x14ac:dyDescent="0.25">
      <c r="B35" s="6"/>
      <c r="C35" s="68" t="s">
        <v>11</v>
      </c>
      <c r="D35" s="68"/>
      <c r="E35" s="68"/>
      <c r="F35" s="68"/>
      <c r="G35" s="124">
        <f>$G$34*$J$7</f>
        <v>8634.5269165270238</v>
      </c>
      <c r="H35" s="124"/>
      <c r="I35" s="9"/>
      <c r="J35" s="24" t="s">
        <v>24</v>
      </c>
      <c r="K35" s="24"/>
      <c r="L35" s="25"/>
      <c r="M35" s="25"/>
      <c r="N35" s="91">
        <f>(1+N34)^(1/12)-1</f>
        <v>0</v>
      </c>
      <c r="O35" s="91"/>
      <c r="P35" s="9"/>
      <c r="Q35" s="83" t="s">
        <v>11</v>
      </c>
      <c r="R35" s="84"/>
      <c r="S35" s="84"/>
      <c r="T35" s="84"/>
      <c r="U35" s="85"/>
      <c r="V35" s="93">
        <f>V33-J7</f>
        <v>6883.6217926552417</v>
      </c>
      <c r="W35" s="93"/>
      <c r="X35" s="10"/>
    </row>
    <row r="36" spans="2:24" x14ac:dyDescent="0.25">
      <c r="B36" s="6"/>
      <c r="C36" s="68" t="s">
        <v>12</v>
      </c>
      <c r="D36" s="68"/>
      <c r="E36" s="68"/>
      <c r="F36" s="68"/>
      <c r="G36" s="88">
        <f>$G$35+$J$7</f>
        <v>58634.526916527022</v>
      </c>
      <c r="H36" s="88"/>
      <c r="I36" s="9"/>
      <c r="J36" s="68" t="s">
        <v>25</v>
      </c>
      <c r="K36" s="68"/>
      <c r="L36" s="68"/>
      <c r="M36" s="68"/>
      <c r="N36" s="92">
        <f>(((((1+$J$12)^$J$6))-1)*$N$32)*(1-$N$33)</f>
        <v>0.16383461328794865</v>
      </c>
      <c r="O36" s="92"/>
      <c r="P36" s="9"/>
      <c r="Q36" s="83" t="s">
        <v>19</v>
      </c>
      <c r="R36" s="84"/>
      <c r="S36" s="84"/>
      <c r="T36" s="84"/>
      <c r="U36" s="85"/>
      <c r="V36" s="86">
        <f>(V33/J7)^(12/J6)-1</f>
        <v>4.3277453881054972E-2</v>
      </c>
      <c r="W36" s="86"/>
      <c r="X36" s="10"/>
    </row>
    <row r="37" spans="2:24" x14ac:dyDescent="0.25">
      <c r="B37" s="6"/>
      <c r="C37" s="68" t="s">
        <v>19</v>
      </c>
      <c r="D37" s="68"/>
      <c r="E37" s="68"/>
      <c r="F37" s="68"/>
      <c r="G37" s="82">
        <f>(1+G34)^(12/$J$6)-1</f>
        <v>5.3718200166991803E-2</v>
      </c>
      <c r="H37" s="82"/>
      <c r="I37" s="9"/>
      <c r="J37" s="68" t="s">
        <v>11</v>
      </c>
      <c r="K37" s="68"/>
      <c r="L37" s="68"/>
      <c r="M37" s="68"/>
      <c r="N37" s="124">
        <f>$N$36*$J$7</f>
        <v>8191.7306643974325</v>
      </c>
      <c r="O37" s="124"/>
      <c r="P37" s="9"/>
      <c r="Q37" s="78" t="s">
        <v>20</v>
      </c>
      <c r="R37" s="78"/>
      <c r="S37" s="78"/>
      <c r="T37" s="78"/>
      <c r="U37" s="78"/>
      <c r="V37" s="86">
        <f>(1+V36)^(1/12)-1</f>
        <v>3.536836218985373E-3</v>
      </c>
      <c r="W37" s="86"/>
      <c r="X37" s="10"/>
    </row>
    <row r="38" spans="2:24" x14ac:dyDescent="0.25">
      <c r="B38" s="6"/>
      <c r="C38" s="68" t="s">
        <v>20</v>
      </c>
      <c r="D38" s="68"/>
      <c r="E38" s="68"/>
      <c r="F38" s="68"/>
      <c r="G38" s="82">
        <f>(1+G37)^(1/12)-1</f>
        <v>4.3699414768310074E-3</v>
      </c>
      <c r="H38" s="82"/>
      <c r="I38" s="9"/>
      <c r="J38" s="68" t="s">
        <v>12</v>
      </c>
      <c r="K38" s="68"/>
      <c r="L38" s="68"/>
      <c r="M38" s="68"/>
      <c r="N38" s="88">
        <f>N37+$J$7</f>
        <v>58191.73066439743</v>
      </c>
      <c r="O38" s="88"/>
      <c r="P38" s="9"/>
      <c r="Q38" s="9"/>
      <c r="R38" s="9"/>
      <c r="S38" s="9"/>
      <c r="T38" s="9"/>
      <c r="U38" s="9"/>
      <c r="V38" s="9"/>
      <c r="W38" s="9"/>
      <c r="X38" s="10"/>
    </row>
    <row r="39" spans="2:24" x14ac:dyDescent="0.25">
      <c r="B39" s="6"/>
      <c r="C39" s="26"/>
      <c r="D39" s="26"/>
      <c r="E39" s="26"/>
      <c r="F39" s="26"/>
      <c r="G39" s="18"/>
      <c r="H39" s="18"/>
      <c r="I39" s="9"/>
      <c r="J39" s="68" t="s">
        <v>19</v>
      </c>
      <c r="K39" s="68"/>
      <c r="L39" s="68"/>
      <c r="M39" s="68"/>
      <c r="N39" s="82">
        <f>(1+$N$36)^(12/$J$6)-1</f>
        <v>5.1097777151345225E-2</v>
      </c>
      <c r="O39" s="82"/>
      <c r="P39" s="9"/>
      <c r="Q39" s="9"/>
      <c r="R39" s="9"/>
      <c r="S39" s="9"/>
      <c r="T39" s="9"/>
      <c r="U39" s="9"/>
      <c r="V39" s="9"/>
      <c r="W39" s="9"/>
      <c r="X39" s="10"/>
    </row>
    <row r="40" spans="2:24" x14ac:dyDescent="0.25">
      <c r="B40" s="6"/>
      <c r="C40" s="9"/>
      <c r="D40" s="9"/>
      <c r="E40" s="9"/>
      <c r="F40" s="9"/>
      <c r="G40" s="9"/>
      <c r="H40" s="9"/>
      <c r="I40" s="9"/>
      <c r="J40" s="68" t="s">
        <v>20</v>
      </c>
      <c r="K40" s="68"/>
      <c r="L40" s="68"/>
      <c r="M40" s="68"/>
      <c r="N40" s="82">
        <f>(1+N39)^(1/12)-1</f>
        <v>4.1615620216326477E-3</v>
      </c>
      <c r="O40" s="82"/>
      <c r="P40" s="9"/>
      <c r="Q40" s="9"/>
      <c r="R40" s="9"/>
      <c r="S40" s="9"/>
      <c r="T40" s="9"/>
      <c r="U40" s="9"/>
      <c r="V40" s="9"/>
      <c r="W40" s="9"/>
      <c r="X40" s="10"/>
    </row>
    <row r="41" spans="2:24" x14ac:dyDescent="0.25">
      <c r="B41" s="6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10"/>
    </row>
    <row r="42" spans="2:24" ht="15.75" thickBot="1" x14ac:dyDescent="0.3"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9"/>
    </row>
    <row r="44" spans="2:24" x14ac:dyDescent="0.25">
      <c r="C44" s="1" t="s">
        <v>69</v>
      </c>
    </row>
    <row r="45" spans="2:24" ht="15.75" thickBot="1" x14ac:dyDescent="0.3"/>
    <row r="46" spans="2:24" ht="15" customHeight="1" x14ac:dyDescent="0.25">
      <c r="C46" s="97" t="s">
        <v>70</v>
      </c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9"/>
    </row>
    <row r="47" spans="2:24" x14ac:dyDescent="0.25">
      <c r="C47" s="100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2"/>
    </row>
    <row r="48" spans="2:24" x14ac:dyDescent="0.25">
      <c r="C48" s="100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2"/>
    </row>
    <row r="49" spans="3:21" ht="15.75" thickBot="1" x14ac:dyDescent="0.3">
      <c r="C49" s="103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5"/>
    </row>
    <row r="50" spans="3:21" ht="15.75" thickBot="1" x14ac:dyDescent="0.3"/>
    <row r="51" spans="3:21" x14ac:dyDescent="0.25">
      <c r="C51" s="106" t="s">
        <v>67</v>
      </c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8"/>
    </row>
    <row r="52" spans="3:21" x14ac:dyDescent="0.25">
      <c r="C52" s="109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1"/>
    </row>
    <row r="53" spans="3:21" ht="15.75" thickBot="1" x14ac:dyDescent="0.3">
      <c r="C53" s="112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4"/>
    </row>
    <row r="54" spans="3:21" ht="15.75" thickBot="1" x14ac:dyDescent="0.3"/>
    <row r="55" spans="3:21" x14ac:dyDescent="0.25">
      <c r="C55" s="97" t="s">
        <v>68</v>
      </c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9"/>
    </row>
    <row r="56" spans="3:21" x14ac:dyDescent="0.25">
      <c r="C56" s="100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2"/>
    </row>
    <row r="57" spans="3:21" x14ac:dyDescent="0.25">
      <c r="C57" s="100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2"/>
    </row>
    <row r="58" spans="3:21" ht="15.75" thickBot="1" x14ac:dyDescent="0.3">
      <c r="C58" s="103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5"/>
    </row>
    <row r="59" spans="3:21" ht="15.75" thickBot="1" x14ac:dyDescent="0.3"/>
    <row r="60" spans="3:21" x14ac:dyDescent="0.25">
      <c r="C60" s="115" t="s">
        <v>44</v>
      </c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7"/>
    </row>
    <row r="61" spans="3:21" ht="15.75" thickBot="1" x14ac:dyDescent="0.3">
      <c r="C61" s="118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20"/>
    </row>
    <row r="81" spans="9:14" x14ac:dyDescent="0.25">
      <c r="I81" s="30"/>
      <c r="J81" s="30"/>
      <c r="K81" s="30"/>
      <c r="L81" s="30"/>
      <c r="M81" s="30"/>
      <c r="N81" s="30"/>
    </row>
  </sheetData>
  <sheetProtection sheet="1" selectLockedCells="1"/>
  <mergeCells count="125">
    <mergeCell ref="C46:U49"/>
    <mergeCell ref="C51:U53"/>
    <mergeCell ref="C55:U58"/>
    <mergeCell ref="C60:U61"/>
    <mergeCell ref="N2:U3"/>
    <mergeCell ref="S10:T10"/>
    <mergeCell ref="S11:T11"/>
    <mergeCell ref="S12:T12"/>
    <mergeCell ref="S9:T9"/>
    <mergeCell ref="N40:O40"/>
    <mergeCell ref="C2:K2"/>
    <mergeCell ref="N24:O24"/>
    <mergeCell ref="N25:O25"/>
    <mergeCell ref="N26:O26"/>
    <mergeCell ref="N27:O27"/>
    <mergeCell ref="N28:O28"/>
    <mergeCell ref="J32:M32"/>
    <mergeCell ref="J33:M33"/>
    <mergeCell ref="J34:M34"/>
    <mergeCell ref="N29:O29"/>
    <mergeCell ref="N37:O37"/>
    <mergeCell ref="G34:H34"/>
    <mergeCell ref="G35:H35"/>
    <mergeCell ref="G36:H36"/>
    <mergeCell ref="V35:W35"/>
    <mergeCell ref="V36:W36"/>
    <mergeCell ref="V27:W27"/>
    <mergeCell ref="V28:W28"/>
    <mergeCell ref="V31:W31"/>
    <mergeCell ref="Q31:U31"/>
    <mergeCell ref="V30:W30"/>
    <mergeCell ref="Q22:W22"/>
    <mergeCell ref="V23:W23"/>
    <mergeCell ref="V24:W24"/>
    <mergeCell ref="V25:W25"/>
    <mergeCell ref="V26:W26"/>
    <mergeCell ref="Q26:U26"/>
    <mergeCell ref="Q28:U28"/>
    <mergeCell ref="Q29:U29"/>
    <mergeCell ref="Q30:U30"/>
    <mergeCell ref="V37:W37"/>
    <mergeCell ref="J16:K16"/>
    <mergeCell ref="N23:O23"/>
    <mergeCell ref="C17:I17"/>
    <mergeCell ref="J17:K17"/>
    <mergeCell ref="V32:W32"/>
    <mergeCell ref="J40:M40"/>
    <mergeCell ref="J31:O31"/>
    <mergeCell ref="N32:O32"/>
    <mergeCell ref="N33:O33"/>
    <mergeCell ref="N38:O38"/>
    <mergeCell ref="C34:F34"/>
    <mergeCell ref="V33:W33"/>
    <mergeCell ref="V34:W34"/>
    <mergeCell ref="C37:F37"/>
    <mergeCell ref="C38:F38"/>
    <mergeCell ref="Q23:U23"/>
    <mergeCell ref="Q24:U24"/>
    <mergeCell ref="N34:O34"/>
    <mergeCell ref="N35:O35"/>
    <mergeCell ref="N36:O36"/>
    <mergeCell ref="J29:M29"/>
    <mergeCell ref="G37:H37"/>
    <mergeCell ref="G38:H38"/>
    <mergeCell ref="C35:F35"/>
    <mergeCell ref="C36:F36"/>
    <mergeCell ref="J39:M39"/>
    <mergeCell ref="Q27:U27"/>
    <mergeCell ref="J25:M25"/>
    <mergeCell ref="J26:M26"/>
    <mergeCell ref="J27:M27"/>
    <mergeCell ref="J28:M28"/>
    <mergeCell ref="Q32:U32"/>
    <mergeCell ref="Q33:U33"/>
    <mergeCell ref="Q34:U34"/>
    <mergeCell ref="Q35:U35"/>
    <mergeCell ref="Q36:U36"/>
    <mergeCell ref="Q37:U37"/>
    <mergeCell ref="J36:M36"/>
    <mergeCell ref="J37:M37"/>
    <mergeCell ref="J38:M38"/>
    <mergeCell ref="Q25:U25"/>
    <mergeCell ref="N39:O39"/>
    <mergeCell ref="C25:F25"/>
    <mergeCell ref="C3:K3"/>
    <mergeCell ref="C4:K4"/>
    <mergeCell ref="C33:F33"/>
    <mergeCell ref="G23:H23"/>
    <mergeCell ref="G24:H24"/>
    <mergeCell ref="G25:H25"/>
    <mergeCell ref="G26:H26"/>
    <mergeCell ref="G27:H27"/>
    <mergeCell ref="G28:H28"/>
    <mergeCell ref="G29:H29"/>
    <mergeCell ref="G32:H32"/>
    <mergeCell ref="G33:H33"/>
    <mergeCell ref="C32:F32"/>
    <mergeCell ref="C29:F29"/>
    <mergeCell ref="C26:F26"/>
    <mergeCell ref="C27:F27"/>
    <mergeCell ref="C28:F28"/>
    <mergeCell ref="C23:F23"/>
    <mergeCell ref="C24:F24"/>
    <mergeCell ref="J23:M23"/>
    <mergeCell ref="J24:M24"/>
    <mergeCell ref="C22:H22"/>
    <mergeCell ref="C31:H31"/>
    <mergeCell ref="J22:O22"/>
    <mergeCell ref="J5:K5"/>
    <mergeCell ref="N7:P7"/>
    <mergeCell ref="N12:P12"/>
    <mergeCell ref="V29:W29"/>
    <mergeCell ref="J7:K7"/>
    <mergeCell ref="J6:K6"/>
    <mergeCell ref="J14:K14"/>
    <mergeCell ref="C15:I15"/>
    <mergeCell ref="J15:K15"/>
    <mergeCell ref="J9:K9"/>
    <mergeCell ref="J10:K10"/>
    <mergeCell ref="J11:K11"/>
    <mergeCell ref="J12:K12"/>
    <mergeCell ref="J13:K13"/>
    <mergeCell ref="J8:K8"/>
    <mergeCell ref="S8:T8"/>
    <mergeCell ref="N6:W6"/>
  </mergeCells>
  <hyperlinks>
    <hyperlink ref="I14" r:id="rId1" xr:uid="{00000000-0004-0000-0000-000002000000}"/>
    <hyperlink ref="I16" r:id="rId2" xr:uid="{00000000-0004-0000-0000-000003000000}"/>
    <hyperlink ref="H13" r:id="rId3" xr:uid="{71DD2B24-F11C-4E13-8397-90B7AABDA6F9}"/>
    <hyperlink ref="H9" r:id="rId4" xr:uid="{FDF2376B-5221-4B53-A8C1-5ADF2BF72FD1}"/>
    <hyperlink ref="H8" r:id="rId5" xr:uid="{880E3CAA-0F96-4890-B978-9CF3197ACE77}"/>
  </hyperlinks>
  <pageMargins left="0.25" right="0.25" top="0.75" bottom="0.75" header="0.3" footer="0.3"/>
  <pageSetup paperSize="9" scale="71" orientation="landscape" verticalDpi="300" r:id="rId6"/>
  <headerFooter>
    <oddHeader xml:space="preserve">&amp;C
</oddHeader>
  </headerFooter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Rosto</vt:lpstr>
      <vt:lpstr>Rosto!Area_de_impressao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Salete</dc:creator>
  <cp:lastModifiedBy>Claudio De Lucca</cp:lastModifiedBy>
  <cp:lastPrinted>2015-08-27T20:52:48Z</cp:lastPrinted>
  <dcterms:created xsi:type="dcterms:W3CDTF">2015-06-20T14:30:41Z</dcterms:created>
  <dcterms:modified xsi:type="dcterms:W3CDTF">2019-10-11T20:41:13Z</dcterms:modified>
</cp:coreProperties>
</file>